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AMA188\Desktop\"/>
    </mc:Choice>
  </mc:AlternateContent>
  <xr:revisionPtr revIDLastSave="0" documentId="8_{8783184C-EAD2-4328-9B4D-0C087B8B2C1D}" xr6:coauthVersionLast="47" xr6:coauthVersionMax="47" xr10:uidLastSave="{00000000-0000-0000-0000-000000000000}"/>
  <bookViews>
    <workbookView xWindow="-110" yWindow="-110" windowWidth="19420" windowHeight="10420" activeTab="5" xr2:uid="{E60C4DE4-35D3-4C6F-BCE4-E39CF5BA9EFC}"/>
  </bookViews>
  <sheets>
    <sheet name="Phase 1 a" sheetId="3" r:id="rId1"/>
    <sheet name="Phase 1 b" sheetId="5" r:id="rId2"/>
    <sheet name="Phase 2" sheetId="6" r:id="rId3"/>
    <sheet name="Phase 3 a" sheetId="7" r:id="rId4"/>
    <sheet name="Phase 3 b" sheetId="8" r:id="rId5"/>
    <sheet name="Phase 4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8" l="1"/>
  <c r="J25" i="9"/>
  <c r="J9" i="9" s="1"/>
  <c r="J12" i="9" s="1"/>
  <c r="D25" i="9"/>
  <c r="J25" i="8"/>
  <c r="J9" i="8" s="1"/>
  <c r="D25" i="8"/>
  <c r="J25" i="7"/>
  <c r="D25" i="7"/>
  <c r="D22" i="9"/>
  <c r="D21" i="9"/>
  <c r="D22" i="8"/>
  <c r="D21" i="8"/>
  <c r="D22" i="7"/>
  <c r="D21" i="7"/>
  <c r="J25" i="6"/>
  <c r="D25" i="6"/>
  <c r="D22" i="6"/>
  <c r="D23" i="6" s="1"/>
  <c r="D21" i="6"/>
  <c r="J21" i="5"/>
  <c r="D31" i="5" s="1"/>
  <c r="D21" i="5"/>
  <c r="J22" i="5"/>
  <c r="D22" i="5"/>
  <c r="J25" i="5"/>
  <c r="D25" i="5"/>
  <c r="D46" i="9"/>
  <c r="D31" i="9"/>
  <c r="D47" i="9" s="1"/>
  <c r="J23" i="9"/>
  <c r="D23" i="9"/>
  <c r="J19" i="9"/>
  <c r="D16" i="9"/>
  <c r="D24" i="9" s="1"/>
  <c r="J15" i="9"/>
  <c r="D15" i="9"/>
  <c r="D12" i="9"/>
  <c r="D18" i="9" s="1"/>
  <c r="D8" i="9"/>
  <c r="D31" i="8"/>
  <c r="J23" i="8"/>
  <c r="D23" i="8"/>
  <c r="J15" i="8"/>
  <c r="D15" i="8"/>
  <c r="D16" i="8" s="1"/>
  <c r="D24" i="8" s="1"/>
  <c r="D12" i="8"/>
  <c r="D18" i="8" s="1"/>
  <c r="D19" i="8" s="1"/>
  <c r="D8" i="8"/>
  <c r="D31" i="7"/>
  <c r="J23" i="7"/>
  <c r="D23" i="7"/>
  <c r="J15" i="7"/>
  <c r="D15" i="7"/>
  <c r="D16" i="7" s="1"/>
  <c r="D24" i="7" s="1"/>
  <c r="D12" i="7"/>
  <c r="D18" i="7" s="1"/>
  <c r="D19" i="7" s="1"/>
  <c r="D8" i="7"/>
  <c r="J23" i="6"/>
  <c r="J15" i="6"/>
  <c r="D15" i="6"/>
  <c r="D8" i="6"/>
  <c r="D12" i="6" s="1"/>
  <c r="J23" i="5"/>
  <c r="D23" i="5"/>
  <c r="J15" i="5"/>
  <c r="D15" i="5"/>
  <c r="D8" i="5"/>
  <c r="J8" i="3"/>
  <c r="J9" i="3" s="1"/>
  <c r="D8" i="3"/>
  <c r="D9" i="3" s="1"/>
  <c r="D31" i="3"/>
  <c r="J23" i="3"/>
  <c r="D23" i="3"/>
  <c r="J15" i="3"/>
  <c r="D15" i="3"/>
  <c r="J12" i="3"/>
  <c r="J13" i="3" s="1"/>
  <c r="D12" i="3"/>
  <c r="D13" i="3" s="1"/>
  <c r="D9" i="5" l="1"/>
  <c r="D11" i="5" s="1"/>
  <c r="D12" i="5" s="1"/>
  <c r="D13" i="5" s="1"/>
  <c r="D16" i="5" s="1"/>
  <c r="D24" i="5" s="1"/>
  <c r="J18" i="3"/>
  <c r="J18" i="7" s="1"/>
  <c r="D18" i="3"/>
  <c r="D19" i="3" s="1"/>
  <c r="J16" i="9"/>
  <c r="J24" i="9" s="1"/>
  <c r="D36" i="9" s="1"/>
  <c r="D30" i="9"/>
  <c r="D32" i="9"/>
  <c r="D37" i="9" s="1"/>
  <c r="D19" i="9"/>
  <c r="D18" i="6"/>
  <c r="D30" i="3"/>
  <c r="D16" i="3"/>
  <c r="D20" i="3" s="1"/>
  <c r="J16" i="3"/>
  <c r="J17" i="5" l="1"/>
  <c r="J19" i="3"/>
  <c r="J18" i="8"/>
  <c r="D32" i="8" s="1"/>
  <c r="D37" i="8" s="1"/>
  <c r="D32" i="3"/>
  <c r="D37" i="3" s="1"/>
  <c r="J18" i="6"/>
  <c r="J18" i="5"/>
  <c r="J8" i="5"/>
  <c r="J9" i="5" s="1"/>
  <c r="J11" i="5" s="1"/>
  <c r="D18" i="5"/>
  <c r="D20" i="5" s="1"/>
  <c r="D34" i="5" s="1"/>
  <c r="D34" i="9"/>
  <c r="D19" i="6"/>
  <c r="D16" i="6"/>
  <c r="D24" i="6" s="1"/>
  <c r="J20" i="3"/>
  <c r="J24" i="3"/>
  <c r="D24" i="3"/>
  <c r="D34" i="3"/>
  <c r="D33" i="3" l="1"/>
  <c r="D38" i="3" s="1"/>
  <c r="D32" i="5"/>
  <c r="D37" i="5" s="1"/>
  <c r="J19" i="8"/>
  <c r="D19" i="5"/>
  <c r="D39" i="6"/>
  <c r="D36" i="3"/>
  <c r="D35" i="3" l="1"/>
  <c r="D39" i="3"/>
  <c r="D40" i="3" s="1"/>
  <c r="D41" i="3" s="1"/>
  <c r="J12" i="5"/>
  <c r="J13" i="5" s="1"/>
  <c r="J16" i="5" l="1"/>
  <c r="D30" i="5"/>
  <c r="D42" i="3"/>
  <c r="D33" i="5"/>
  <c r="D38" i="5" s="1"/>
  <c r="J19" i="5"/>
  <c r="J24" i="5" l="1"/>
  <c r="D36" i="5" s="1"/>
  <c r="D39" i="5" s="1"/>
  <c r="D40" i="5" s="1"/>
  <c r="D41" i="5" s="1"/>
  <c r="D33" i="7" s="1"/>
  <c r="J17" i="6"/>
  <c r="J20" i="5"/>
  <c r="J8" i="6"/>
  <c r="D35" i="5"/>
  <c r="D38" i="7" l="1"/>
  <c r="J17" i="7"/>
  <c r="D32" i="6"/>
  <c r="D40" i="6" s="1"/>
  <c r="J19" i="6"/>
  <c r="J9" i="6"/>
  <c r="J8" i="7"/>
  <c r="D42" i="5"/>
  <c r="D41" i="6"/>
  <c r="D42" i="6" l="1"/>
  <c r="J9" i="7"/>
  <c r="J11" i="7" s="1"/>
  <c r="J11" i="6"/>
  <c r="J12" i="6" s="1"/>
  <c r="J13" i="6" s="1"/>
  <c r="J16" i="6" s="1"/>
  <c r="J19" i="7"/>
  <c r="D32" i="7"/>
  <c r="D37" i="7" l="1"/>
  <c r="J11" i="8"/>
  <c r="J12" i="8" s="1"/>
  <c r="J12" i="7"/>
  <c r="J13" i="7" s="1"/>
  <c r="J20" i="6"/>
  <c r="J24" i="6"/>
  <c r="J16" i="7" l="1"/>
  <c r="D30" i="7"/>
  <c r="J13" i="8"/>
  <c r="J16" i="8" s="1"/>
  <c r="D30" i="8" l="1"/>
  <c r="J24" i="8"/>
  <c r="D36" i="8" s="1"/>
  <c r="J20" i="8"/>
  <c r="D34" i="8" s="1"/>
  <c r="J24" i="7"/>
  <c r="D36" i="7" s="1"/>
  <c r="D39" i="7" s="1"/>
  <c r="D40" i="7" s="1"/>
  <c r="J20" i="7"/>
  <c r="D34" i="7" s="1"/>
  <c r="D35" i="7" s="1"/>
  <c r="D41" i="7" l="1"/>
  <c r="D33" i="8" s="1"/>
  <c r="D35" i="8" s="1"/>
  <c r="D38" i="8" l="1"/>
  <c r="D39" i="8" s="1"/>
  <c r="D40" i="8" s="1"/>
  <c r="D42" i="7"/>
  <c r="D33" i="9" l="1"/>
  <c r="D42" i="8"/>
  <c r="D51" i="9" l="1"/>
  <c r="D52" i="9" s="1"/>
  <c r="D38" i="9"/>
  <c r="D39" i="9" s="1"/>
  <c r="D40" i="9" s="1"/>
  <c r="D41" i="9" s="1"/>
  <c r="D45" i="9"/>
  <c r="D35" i="9"/>
  <c r="D48" i="9" l="1"/>
  <c r="D49" i="9" s="1"/>
  <c r="D50" i="9" s="1"/>
  <c r="D42" i="9"/>
  <c r="D53" i="9" s="1"/>
</calcChain>
</file>

<file path=xl/sharedStrings.xml><?xml version="1.0" encoding="utf-8"?>
<sst xmlns="http://schemas.openxmlformats.org/spreadsheetml/2006/main" count="1059" uniqueCount="81">
  <si>
    <t>v exhaust</t>
  </si>
  <si>
    <t>p max</t>
  </si>
  <si>
    <t>A throat</t>
  </si>
  <si>
    <t>[kg/m³]</t>
  </si>
  <si>
    <t>[bar]</t>
  </si>
  <si>
    <t>[N/m²]=[kg/(m*s²)]</t>
  </si>
  <si>
    <t>[m/s]</t>
  </si>
  <si>
    <t>[m²]</t>
  </si>
  <si>
    <t>[kg/s]</t>
  </si>
  <si>
    <t>d throat</t>
  </si>
  <si>
    <t>[m]</t>
  </si>
  <si>
    <t>[s]</t>
  </si>
  <si>
    <t>[kg]</t>
  </si>
  <si>
    <t>F thrust</t>
  </si>
  <si>
    <t>h burn</t>
  </si>
  <si>
    <t>[N]=[kg*m/s²]</t>
  </si>
  <si>
    <t>v initial</t>
  </si>
  <si>
    <t>m structure</t>
  </si>
  <si>
    <t>F drag</t>
  </si>
  <si>
    <t>c d</t>
  </si>
  <si>
    <t>[-]</t>
  </si>
  <si>
    <t>d rocket</t>
  </si>
  <si>
    <t>A rocket</t>
  </si>
  <si>
    <t>[N]</t>
  </si>
  <si>
    <t>k</t>
  </si>
  <si>
    <t>q</t>
  </si>
  <si>
    <t>g</t>
  </si>
  <si>
    <t>[m/s²]</t>
  </si>
  <si>
    <t>t free flight</t>
  </si>
  <si>
    <t>arctan</t>
  </si>
  <si>
    <t>t max altitude</t>
  </si>
  <si>
    <t>h free flight</t>
  </si>
  <si>
    <t>h max altitude</t>
  </si>
  <si>
    <t>ln</t>
  </si>
  <si>
    <t>density water</t>
  </si>
  <si>
    <t>density air</t>
  </si>
  <si>
    <t>variable</t>
  </si>
  <si>
    <t>calculated</t>
  </si>
  <si>
    <t>mass flow rate</t>
  </si>
  <si>
    <t>at 20 °C</t>
  </si>
  <si>
    <t>fixed</t>
  </si>
  <si>
    <t>best guess</t>
  </si>
  <si>
    <t>t burn booster</t>
  </si>
  <si>
    <t>Water Rocket Performance Calculation</t>
  </si>
  <si>
    <t>Booster (both are similar)</t>
  </si>
  <si>
    <t>Core stage</t>
  </si>
  <si>
    <t>from above</t>
  </si>
  <si>
    <t>Phase 2</t>
  </si>
  <si>
    <t>F gravity</t>
  </si>
  <si>
    <t>[dm³]</t>
  </si>
  <si>
    <t>F total</t>
  </si>
  <si>
    <t>v exhaust, mean</t>
  </si>
  <si>
    <t>a initial</t>
  </si>
  <si>
    <t>V booster</t>
  </si>
  <si>
    <t>V core</t>
  </si>
  <si>
    <t>Phase 1a</t>
  </si>
  <si>
    <t>volume water</t>
  </si>
  <si>
    <t>volume gas</t>
  </si>
  <si>
    <t>m water booster</t>
  </si>
  <si>
    <t>m gas booster</t>
  </si>
  <si>
    <t>m wet total</t>
  </si>
  <si>
    <t>air gas constant</t>
  </si>
  <si>
    <t>[J/kgK]=[m²/s²K]</t>
  </si>
  <si>
    <t>Temperature</t>
  </si>
  <si>
    <t>[K]</t>
  </si>
  <si>
    <t>m wet</t>
  </si>
  <si>
    <t>m dry</t>
  </si>
  <si>
    <t>Phase 1b</t>
  </si>
  <si>
    <t>v phase 1a</t>
  </si>
  <si>
    <t>h phase 1a</t>
  </si>
  <si>
    <t>v phase 1b</t>
  </si>
  <si>
    <t>h phase 1b</t>
  </si>
  <si>
    <t>v phase 2</t>
  </si>
  <si>
    <t>h phase 2</t>
  </si>
  <si>
    <t>Phase 3a</t>
  </si>
  <si>
    <t>v phase 3a</t>
  </si>
  <si>
    <t>h phase 3a</t>
  </si>
  <si>
    <t>Phase 3b</t>
  </si>
  <si>
    <t>v phase 3b</t>
  </si>
  <si>
    <t>h phase 3b</t>
  </si>
  <si>
    <t>Phase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</si>
</sst>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0" borderId="0" xfId="0" applyFont="1"/>
    <xf numFmtId="164" fontId="1" fillId="0" borderId="0" xfId="0" applyNumberFormat="1" applyFont="1"/>
    <xf numFmtId="164" fontId="0" fillId="4" borderId="0" xfId="0" applyNumberFormat="1" applyFill="1"/>
    <xf numFmtId="164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FBCE-AF67-493A-9917-0AE63D282847}">
  <sheetPr codeName="Tabelle3"/>
  <dimension ref="A1:O43"/>
  <sheetViews>
    <sheetView topLeftCell="A9" workbookViewId="0">
      <selection activeCell="J18" sqref="J18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0.75135243438188737</v>
      </c>
      <c r="E8" t="s">
        <v>49</v>
      </c>
      <c r="H8" t="s">
        <v>56</v>
      </c>
      <c r="I8" s="3" t="s">
        <v>36</v>
      </c>
      <c r="J8" s="1">
        <f>J17/J5*1000</f>
        <v>1.8032458425165296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0.74864756561811263</v>
      </c>
      <c r="E9" t="s">
        <v>49</v>
      </c>
      <c r="H9" t="s">
        <v>57</v>
      </c>
      <c r="I9" s="3" t="s">
        <v>36</v>
      </c>
      <c r="J9" s="1">
        <f>J25-J8</f>
        <v>2.6967541574834701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7">
        <v>9</v>
      </c>
      <c r="E11" t="s">
        <v>4</v>
      </c>
      <c r="H11" t="s">
        <v>1</v>
      </c>
      <c r="I11" s="3" t="s">
        <v>36</v>
      </c>
      <c r="J11" s="7">
        <v>9</v>
      </c>
      <c r="K11" t="s">
        <v>4</v>
      </c>
      <c r="O11"/>
    </row>
    <row r="12" spans="1:15" x14ac:dyDescent="0.35">
      <c r="D12" s="1">
        <f>D11*10^5</f>
        <v>900000</v>
      </c>
      <c r="E12" t="s">
        <v>5</v>
      </c>
      <c r="I12"/>
      <c r="J12" s="1">
        <f>J11*10^5</f>
        <v>900000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SQRT(2*D12/D5)</f>
        <v>42.464642262905379</v>
      </c>
      <c r="E13" t="s">
        <v>6</v>
      </c>
      <c r="H13" t="s">
        <v>0</v>
      </c>
      <c r="I13" t="s">
        <v>37</v>
      </c>
      <c r="J13" s="1">
        <f>SQRT(2*J12/J5)</f>
        <v>42.464642262905379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D13*D15*D5</f>
        <v>16.113143629366395</v>
      </c>
      <c r="E16" t="s">
        <v>8</v>
      </c>
      <c r="H16" t="s">
        <v>38</v>
      </c>
      <c r="I16" t="s">
        <v>37</v>
      </c>
      <c r="J16" s="1">
        <f>J13*J15*J5</f>
        <v>16.113143629366395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7">
        <v>0.75</v>
      </c>
      <c r="E17" t="s">
        <v>12</v>
      </c>
      <c r="H17" t="s">
        <v>58</v>
      </c>
      <c r="I17" s="3" t="s">
        <v>36</v>
      </c>
      <c r="J17" s="7">
        <v>1.8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8.0070488195710127E-3</v>
      </c>
      <c r="E18" t="s">
        <v>12</v>
      </c>
      <c r="H18" t="s">
        <v>59</v>
      </c>
      <c r="I18" s="3" t="s">
        <v>36</v>
      </c>
      <c r="J18" s="1">
        <f>J12*J9/J7/J3/1000</f>
        <v>2.8842733463673498E-2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0.75800704881957104</v>
      </c>
      <c r="E19" t="s">
        <v>12</v>
      </c>
      <c r="H19" t="s">
        <v>60</v>
      </c>
      <c r="I19" s="3" t="s">
        <v>36</v>
      </c>
      <c r="J19" s="1">
        <f>J17+J18</f>
        <v>1.8288427334636737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D17/D16</f>
        <v>4.6545852085195599E-2</v>
      </c>
      <c r="E20" t="s">
        <v>11</v>
      </c>
      <c r="H20" t="s">
        <v>42</v>
      </c>
      <c r="I20" t="s">
        <v>37</v>
      </c>
      <c r="J20" s="1">
        <f>J17/J16</f>
        <v>0.11171004500446945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6">
        <v>0.1</v>
      </c>
      <c r="E21" t="s">
        <v>12</v>
      </c>
      <c r="H21" t="s">
        <v>17</v>
      </c>
      <c r="I21" s="3" t="s">
        <v>36</v>
      </c>
      <c r="J21" s="6">
        <v>0.9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684.2388799518568</v>
      </c>
      <c r="E24" t="s">
        <v>15</v>
      </c>
      <c r="H24" t="s">
        <v>13</v>
      </c>
      <c r="I24" t="s">
        <v>37</v>
      </c>
      <c r="J24" s="1">
        <f>J16*J13</f>
        <v>684.2388799518568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v>1.5</v>
      </c>
      <c r="E25" t="s">
        <v>49</v>
      </c>
      <c r="H25" t="s">
        <v>54</v>
      </c>
      <c r="I25" s="3" t="s">
        <v>36</v>
      </c>
      <c r="J25" s="7">
        <v>4.5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55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42.464642262905379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1.1000000000000001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3.3448568311028151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D30*D32/(D32+D31)</f>
        <v>31.955618403613514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4.6545852085195599E-2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1.487401487505549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2052.7166398555705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43.58848851420975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8.7630936874465419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2000.3650576539142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450.04038007622466</v>
      </c>
      <c r="E40" t="s">
        <v>27</v>
      </c>
      <c r="I40"/>
      <c r="J40" s="1"/>
      <c r="O40"/>
    </row>
    <row r="41" spans="2:15" x14ac:dyDescent="0.35">
      <c r="B41" t="s">
        <v>68</v>
      </c>
      <c r="D41" s="1">
        <f>D40*D34</f>
        <v>20.947512963393162</v>
      </c>
      <c r="E41" t="s">
        <v>6</v>
      </c>
      <c r="I41"/>
      <c r="J41" s="1"/>
      <c r="O41"/>
    </row>
    <row r="42" spans="2:15" x14ac:dyDescent="0.35">
      <c r="B42" t="s">
        <v>69</v>
      </c>
      <c r="D42" s="1">
        <f>D41*D34</f>
        <v>0.97501983994681551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B4FA-2CF3-4083-A847-B592F0F7A53D}">
  <sheetPr codeName="Tabelle5"/>
  <dimension ref="A1:O43"/>
  <sheetViews>
    <sheetView topLeftCell="A13" workbookViewId="0">
      <selection activeCell="D21" sqref="D21:D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</f>
        <v>1.05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1.5</v>
      </c>
      <c r="E9" t="s">
        <v>49</v>
      </c>
      <c r="H9" t="s">
        <v>57</v>
      </c>
      <c r="I9" s="3" t="s">
        <v>36</v>
      </c>
      <c r="J9" s="1">
        <f>J25-J8</f>
        <v>3.45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f>'Phase 1 a'!D11*('Phase 1 a'!D9/'Phase 1 b'!D9)^1.4</f>
        <v>3.4017557705872798</v>
      </c>
      <c r="E11" t="s">
        <v>4</v>
      </c>
      <c r="H11" t="s">
        <v>1</v>
      </c>
      <c r="I11" s="3" t="s">
        <v>36</v>
      </c>
      <c r="J11" s="1">
        <f>'Phase 1 a'!J11*('Phase 1 a'!J9/'Phase 1 b'!J9)^1.4</f>
        <v>6.3749043957497582</v>
      </c>
      <c r="K11" t="s">
        <v>4</v>
      </c>
      <c r="O11"/>
    </row>
    <row r="12" spans="1:15" x14ac:dyDescent="0.35">
      <c r="D12" s="1">
        <f>D11*10^5</f>
        <v>340175.57705872797</v>
      </c>
      <c r="E12" t="s">
        <v>5</v>
      </c>
      <c r="I12"/>
      <c r="J12" s="1">
        <f>J11*10^5</f>
        <v>637490.43957497587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SQRT(2*D12/D6)</f>
        <v>751.71517837534736</v>
      </c>
      <c r="E13" t="s">
        <v>6</v>
      </c>
      <c r="H13" t="s">
        <v>0</v>
      </c>
      <c r="I13" t="s">
        <v>37</v>
      </c>
      <c r="J13" s="1">
        <f>SQRT(2*J12/J5)</f>
        <v>35.739054032242748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0.34404484057778167</v>
      </c>
      <c r="E16" t="s">
        <v>8</v>
      </c>
      <c r="H16" t="s">
        <v>38</v>
      </c>
      <c r="I16" t="s">
        <v>37</v>
      </c>
      <c r="J16" s="1">
        <f>J13*J15*J5</f>
        <v>13.561129450565481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</f>
        <v>0.85000000000000009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6.0638289136893987E-3</v>
      </c>
      <c r="E18" t="s">
        <v>12</v>
      </c>
      <c r="H18" t="s">
        <v>59</v>
      </c>
      <c r="I18" s="3" t="s">
        <v>36</v>
      </c>
      <c r="J18" s="1">
        <f>'Phase 1 a'!J18</f>
        <v>2.8842733463673498E-2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6.0638289136893987E-3</v>
      </c>
      <c r="E19" t="s">
        <v>12</v>
      </c>
      <c r="H19" t="s">
        <v>60</v>
      </c>
      <c r="I19" s="3" t="s">
        <v>36</v>
      </c>
      <c r="J19" s="1">
        <f>J17+J18</f>
        <v>0.87884273346367359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D18/D16</f>
        <v>1.7625112190335225E-2</v>
      </c>
      <c r="E20" t="s">
        <v>11</v>
      </c>
      <c r="H20" t="s">
        <v>42</v>
      </c>
      <c r="I20" t="s">
        <v>37</v>
      </c>
      <c r="J20" s="1">
        <f>J17/J16</f>
        <v>6.2679145059304497E-2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f>'Phase 1 a'!J21</f>
        <v>0.9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f>'Phase 1 a'!J22</f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258.62372870404511</v>
      </c>
      <c r="E24" t="s">
        <v>15</v>
      </c>
      <c r="H24" t="s">
        <v>13</v>
      </c>
      <c r="I24" t="s">
        <v>37</v>
      </c>
      <c r="J24" s="1">
        <f>J16*J13</f>
        <v>484.66193817199814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4.5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67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513.05647026097915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1.1000000000000001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0.89097039129105238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a'!D41</f>
        <v>20.947512963393162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1.7625112190335225E-2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0.36920226608830597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1001.9093955800884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19.524451142195705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3.7655458299497129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978.61939860794291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491.52885592304233</v>
      </c>
      <c r="E40" t="s">
        <v>27</v>
      </c>
      <c r="I40"/>
      <c r="J40" s="1"/>
      <c r="O40"/>
    </row>
    <row r="41" spans="2:15" x14ac:dyDescent="0.35">
      <c r="B41" t="s">
        <v>70</v>
      </c>
      <c r="D41" s="1">
        <f>D33+D40*D34</f>
        <v>29.610764193823904</v>
      </c>
      <c r="E41" t="s">
        <v>6</v>
      </c>
      <c r="I41"/>
      <c r="J41" s="1"/>
      <c r="O41"/>
    </row>
    <row r="42" spans="2:15" x14ac:dyDescent="0.35">
      <c r="B42" t="s">
        <v>71</v>
      </c>
      <c r="D42" s="1">
        <f>'Phase 1 a'!D42+D41*D34</f>
        <v>1.4969128809045231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442-CAF8-4C2E-896E-5A29FFBD294D}">
  <sheetPr codeName="Tabelle6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a'!J16-'Phase 1 b'!D20*'Phase 1 b'!J16</f>
        <v>0.81098357200612436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3.6890164279938755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a'!J11*('Phase 1 a'!J9/'Phase 2'!J9)^1.4</f>
        <v>5.8042429724022568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580424.29724022571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34.101933814407644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12.939926685092994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a'!D20-'Phase 1 b'!J16*'Phase 1 b'!D20</f>
        <v>0.61098357200612441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2.8842733463673498E-2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0.63982630546979791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4.7216926870999001E-2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441.27652337832859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4.5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47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v>0.5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J17+J18</f>
        <v>0.63982630546979791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v>0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v>0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v>0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0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0</v>
      </c>
      <c r="E40" t="s">
        <v>27</v>
      </c>
      <c r="I40"/>
      <c r="J40" s="1"/>
      <c r="O40"/>
    </row>
    <row r="41" spans="2:15" x14ac:dyDescent="0.35">
      <c r="B41" t="s">
        <v>72</v>
      </c>
      <c r="D41" s="1">
        <f>'Phase 1 b'!D41</f>
        <v>29.610764193823904</v>
      </c>
      <c r="E41" t="s">
        <v>6</v>
      </c>
      <c r="I41"/>
      <c r="J41" s="1"/>
      <c r="O41"/>
    </row>
    <row r="42" spans="2:15" x14ac:dyDescent="0.35">
      <c r="B42" t="s">
        <v>73</v>
      </c>
      <c r="D42" s="1">
        <f>'Phase 1 b'!D42</f>
        <v>1.4969128809045231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3DF0-C81E-4C27-9D55-78ED5723B592}">
  <sheetPr codeName="Tabelle7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2'!J8</f>
        <v>0.81098357200612436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'Phase 2'!J9</f>
        <v>3.6890164279938755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b'!J11*('Phase 1 b'!J9/'Phase 3 a'!J9)^1.4</f>
        <v>5.804242972402256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580424.2972402256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34.101933814407637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12.93992668509299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'Phase 2'!J17</f>
        <v>0.61098357200612441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2.8842733463673498E-2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0.63982630546979791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4.7216926870999015E-2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441.27652337832836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4.5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74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34.101933814407637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0.63982630546979791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b'!D41</f>
        <v>29.610764193823904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4.7216926870999015E-2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1.3981292875341793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441.27652337832836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14.119656664589574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2.5080776543662084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424.64878905937258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294.93056728173525</v>
      </c>
      <c r="E40" t="s">
        <v>27</v>
      </c>
      <c r="I40"/>
      <c r="J40" s="1"/>
      <c r="O40"/>
    </row>
    <row r="41" spans="2:15" x14ac:dyDescent="0.35">
      <c r="B41" t="s">
        <v>75</v>
      </c>
      <c r="D41" s="1">
        <f>D33+D40*D34</f>
        <v>43.536479221187854</v>
      </c>
      <c r="E41" t="s">
        <v>6</v>
      </c>
      <c r="I41"/>
      <c r="J41" s="1"/>
      <c r="O41"/>
    </row>
    <row r="42" spans="2:15" x14ac:dyDescent="0.35">
      <c r="B42" t="s">
        <v>76</v>
      </c>
      <c r="D42" s="1">
        <f>'Phase 1 b'!D42+D41*D34</f>
        <v>3.552571636512118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9333-6F43-4760-AAAE-0A0280BD7D4E}">
  <sheetPr codeName="Tabelle8"/>
  <dimension ref="A1:O43"/>
  <sheetViews>
    <sheetView topLeftCell="A25" workbookViewId="0">
      <selection activeCell="D42" sqref="D4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4.5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3 a'!J11*('Phase 3 a'!J9/'Phase 3 b'!J9)^1.4</f>
        <v>4.3946358059389192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439463.58059389191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SQRT(2*J12/J6)</f>
        <v>854.40385522912129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0.39104337203441164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2.8842733463673498E-2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2.8842733463673498E-2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J19/J16</f>
        <v>7.3758400030202662E-2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334.10896462799684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4.5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854.40385522912129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2.8842733463673498E-2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a'!D41</f>
        <v>43.536479221187854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7.3758400030202662E-2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3.2111810503029798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334.10896462799684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8.1280462657115145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5.4218607211262491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320.55905764115909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386.75498342317132</v>
      </c>
      <c r="E40" t="s">
        <v>27</v>
      </c>
      <c r="I40"/>
      <c r="J40" s="1"/>
      <c r="O40"/>
    </row>
    <row r="41" spans="2:15" x14ac:dyDescent="0.35">
      <c r="B41" t="s">
        <v>78</v>
      </c>
      <c r="D41" s="6">
        <f>D33</f>
        <v>43.536479221187854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4.708093931207503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DC33-77E6-46FD-A4CC-15BEE30B3D3D}">
  <sheetPr codeName="Tabelle9"/>
  <dimension ref="A1:O53"/>
  <sheetViews>
    <sheetView tabSelected="1" topLeftCell="A35" workbookViewId="0">
      <selection activeCell="D52" sqref="D5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4.5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v>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100000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v>0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v>0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v>0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0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4.5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b'!D41</f>
        <v>43.536479221187854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7.8452000000000002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5.4218607211262491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-13.267060721126249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-16.58382590140781</v>
      </c>
      <c r="E40" t="s">
        <v>27</v>
      </c>
      <c r="I40"/>
      <c r="J40" s="1"/>
      <c r="O40"/>
    </row>
    <row r="41" spans="2:15" x14ac:dyDescent="0.35">
      <c r="B41" t="s">
        <v>78</v>
      </c>
      <c r="D41" s="1">
        <f>D33+D40*D34</f>
        <v>43.536479221187854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1.4969128809045231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  <row r="44" spans="2:15" x14ac:dyDescent="0.35">
      <c r="B44" t="s">
        <v>80</v>
      </c>
      <c r="D44" s="1"/>
    </row>
    <row r="45" spans="2:15" x14ac:dyDescent="0.35">
      <c r="B45" t="s">
        <v>18</v>
      </c>
      <c r="C45" t="s">
        <v>37</v>
      </c>
      <c r="D45" s="1">
        <f>D33^2*J23*J6*J10/2</f>
        <v>5.4218607211262491</v>
      </c>
      <c r="E45" t="s">
        <v>23</v>
      </c>
    </row>
    <row r="46" spans="2:15" x14ac:dyDescent="0.35">
      <c r="B46" t="s">
        <v>24</v>
      </c>
      <c r="C46" t="s">
        <v>37</v>
      </c>
      <c r="D46" s="1">
        <f>J23*J6*J10/2</f>
        <v>2.8604986509098464E-3</v>
      </c>
      <c r="E46" t="s">
        <v>20</v>
      </c>
    </row>
    <row r="47" spans="2:15" x14ac:dyDescent="0.35">
      <c r="B47" t="s">
        <v>25</v>
      </c>
      <c r="C47" t="s">
        <v>37</v>
      </c>
      <c r="D47" s="1">
        <f>SQRT(D31*D4/D46)</f>
        <v>52.369826632167616</v>
      </c>
      <c r="E47" t="s">
        <v>20</v>
      </c>
    </row>
    <row r="48" spans="2:15" x14ac:dyDescent="0.35">
      <c r="B48" t="s">
        <v>29</v>
      </c>
      <c r="C48" t="s">
        <v>37</v>
      </c>
      <c r="D48" s="1">
        <f>ATAN(D41/D47)</f>
        <v>0.69355336186671346</v>
      </c>
      <c r="E48" t="s">
        <v>20</v>
      </c>
    </row>
    <row r="49" spans="2:5" x14ac:dyDescent="0.35">
      <c r="B49" t="s">
        <v>28</v>
      </c>
      <c r="C49" t="s">
        <v>37</v>
      </c>
      <c r="D49" s="1">
        <f>D31/D46*1/D47*D48</f>
        <v>3.7037953725709265</v>
      </c>
      <c r="E49" t="s">
        <v>11</v>
      </c>
    </row>
    <row r="50" spans="2:5" x14ac:dyDescent="0.35">
      <c r="B50" t="s">
        <v>30</v>
      </c>
      <c r="C50" t="s">
        <v>37</v>
      </c>
      <c r="D50" s="1">
        <f>'Phase 1 a'!D20+'Phase 1 b'!D20+'Phase 3 a'!D34+'Phase 3 b'!D34+D49</f>
        <v>3.888941663747659</v>
      </c>
      <c r="E50" t="s">
        <v>11</v>
      </c>
    </row>
    <row r="51" spans="2:5" x14ac:dyDescent="0.35">
      <c r="B51" t="s">
        <v>33</v>
      </c>
      <c r="C51" t="s">
        <v>37</v>
      </c>
      <c r="D51" s="1">
        <f>LN(1+D33^2/D47^2)</f>
        <v>0.52538244597340611</v>
      </c>
    </row>
    <row r="52" spans="2:5" x14ac:dyDescent="0.35">
      <c r="B52" t="s">
        <v>31</v>
      </c>
      <c r="C52" t="s">
        <v>37</v>
      </c>
      <c r="D52" s="1">
        <f>D31/(2*D46)*D51</f>
        <v>73.467253103761664</v>
      </c>
      <c r="E52" t="s">
        <v>10</v>
      </c>
    </row>
    <row r="53" spans="2:5" x14ac:dyDescent="0.35">
      <c r="B53" t="s">
        <v>32</v>
      </c>
      <c r="C53" t="s">
        <v>37</v>
      </c>
      <c r="D53" s="1">
        <f>D52+D34+ D42</f>
        <v>74.964165984666181</v>
      </c>
      <c r="E53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Phase 1 a</vt:lpstr>
      <vt:lpstr>Phase 1 b</vt:lpstr>
      <vt:lpstr>Phase 2</vt:lpstr>
      <vt:lpstr>Phase 3 a</vt:lpstr>
      <vt:lpstr>Phase 3 b</vt:lpstr>
      <vt:lpstr>Phase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Markus</dc:creator>
  <cp:lastModifiedBy>Jaeger, Markus</cp:lastModifiedBy>
  <dcterms:created xsi:type="dcterms:W3CDTF">2024-04-23T02:25:01Z</dcterms:created>
  <dcterms:modified xsi:type="dcterms:W3CDTF">2025-04-08T02:44:54Z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e9ed91be-e8ce-41fe-bb5f-242c70701d76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/>
  </property>
  <property fmtid="{D5CDD505-2E9C-101B-9397-08002B2CF9AE}" pid="8" name="Visual">
    <vt:lpwstr>0</vt:lpwstr>
  </property>
</Properties>
</file>